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55" yWindow="65521" windowWidth="9600" windowHeight="9120" tabRatio="564" activeTab="0"/>
  </bookViews>
  <sheets>
    <sheet name="РЕЕСТР" sheetId="1" r:id="rId1"/>
  </sheets>
  <definedNames>
    <definedName name="_xlnm._FilterDatabase" localSheetId="0" hidden="1">'РЕЕСТР'!$A$2:$AI$15</definedName>
    <definedName name="_xlnm.Print_Area" localSheetId="0">'РЕЕСТР'!$A$1:$AE$17</definedName>
  </definedNames>
  <calcPr fullCalcOnLoad="1"/>
</workbook>
</file>

<file path=xl/sharedStrings.xml><?xml version="1.0" encoding="utf-8"?>
<sst xmlns="http://schemas.openxmlformats.org/spreadsheetml/2006/main" count="207" uniqueCount="131">
  <si>
    <t>уч. №81 г. Северск, СНТ «Мир», квартал №4, ул. Трудовая</t>
  </si>
  <si>
    <t>ТП-216, ф.5, оп. №6/8а</t>
  </si>
  <si>
    <t>08/104/13</t>
  </si>
  <si>
    <t>12.11.2013</t>
  </si>
  <si>
    <t>886</t>
  </si>
  <si>
    <t>Нежилое помещение на первом этаже жилого дома ул. Солнечная,18</t>
  </si>
  <si>
    <t>г. Северск, ул. Солнечная,18</t>
  </si>
  <si>
    <t>ТП-324, РУ-0,4кВ, ф.11и ф.15</t>
  </si>
  <si>
    <t>08/105/13</t>
  </si>
  <si>
    <t>887</t>
  </si>
  <si>
    <t>п. Орловка</t>
  </si>
  <si>
    <t>31.10.2013</t>
  </si>
  <si>
    <t>ноябрь</t>
  </si>
  <si>
    <t>п. Орловка, ул. Кирова, 29а</t>
  </si>
  <si>
    <t>ТП ОР-16-3, ф.2, оп.№13/2</t>
  </si>
  <si>
    <t>08/100/13</t>
  </si>
  <si>
    <t>838</t>
  </si>
  <si>
    <t>п. Самусь, ул. Корсакова,9</t>
  </si>
  <si>
    <t>ТП У-1-13, ф.2, оп.№9/1</t>
  </si>
  <si>
    <t>08/101/13</t>
  </si>
  <si>
    <t>839</t>
  </si>
  <si>
    <t>Гаражные боксы</t>
  </si>
  <si>
    <t>г. Северск,  ул. Сосновая, 4, строение 21</t>
  </si>
  <si>
    <t>гр. №2 ГРЩ на строении 21, ул. Сосновая,4</t>
  </si>
  <si>
    <t>08/102/13</t>
  </si>
  <si>
    <t>01.11.2013</t>
  </si>
  <si>
    <t>841</t>
  </si>
  <si>
    <t>гр. №1 ГРЩ на строении 21, ул. Сосновая,4</t>
  </si>
  <si>
    <t>08/103/13</t>
  </si>
  <si>
    <t>842</t>
  </si>
  <si>
    <t>№ п/п</t>
  </si>
  <si>
    <t>Категория надежности</t>
  </si>
  <si>
    <t>Примечание</t>
  </si>
  <si>
    <t>Наименование подключаемого объекта</t>
  </si>
  <si>
    <t>Адрес подключаемого объекта</t>
  </si>
  <si>
    <t>Категория учета</t>
  </si>
  <si>
    <t>Физическое лицо</t>
  </si>
  <si>
    <t>Тариф</t>
  </si>
  <si>
    <t>ВСЕГО</t>
  </si>
  <si>
    <t>Юридическое лицо</t>
  </si>
  <si>
    <t>Класс напряжения, кВ</t>
  </si>
  <si>
    <t>Присоединенная мощность объекта, кВА</t>
  </si>
  <si>
    <t>Категории надежности</t>
  </si>
  <si>
    <t>Критерий отбора</t>
  </si>
  <si>
    <t>Наименование критерия</t>
  </si>
  <si>
    <t>Итого</t>
  </si>
  <si>
    <t>Кол-во, шт.</t>
  </si>
  <si>
    <t>Присоединенная мощность объекта, кВт</t>
  </si>
  <si>
    <t>Косинус φ</t>
  </si>
  <si>
    <t>Классификация по присоединенной мощности объекта (кВт)</t>
  </si>
  <si>
    <t>P &lt;= 15 кВт</t>
  </si>
  <si>
    <t>Физические / Юридические лица</t>
  </si>
  <si>
    <t>Класс сети, кВ</t>
  </si>
  <si>
    <t>Тип подключения</t>
  </si>
  <si>
    <t>Основное</t>
  </si>
  <si>
    <t>Тип подключения: основное или временное - строительно-монтажные работы</t>
  </si>
  <si>
    <t>Местонахождение объекта</t>
  </si>
  <si>
    <t>Статистика по реестру: Итоги по критериям: Ед.изм.</t>
  </si>
  <si>
    <t>Проверка:</t>
  </si>
  <si>
    <t>Класс сети, В</t>
  </si>
  <si>
    <t>№ договора</t>
  </si>
  <si>
    <t>Дата заключения договора</t>
  </si>
  <si>
    <t>Дата создания договора</t>
  </si>
  <si>
    <t>Дата присоединения</t>
  </si>
  <si>
    <t>Статус договора</t>
  </si>
  <si>
    <t>Точка присоединения</t>
  </si>
  <si>
    <t>Тариф по приказу РЭК, руб. / (руб./кВт)</t>
  </si>
  <si>
    <t>Дата оплаты</t>
  </si>
  <si>
    <t>№ ТУ</t>
  </si>
  <si>
    <t>Дата выдачи ТУ</t>
  </si>
  <si>
    <t>Статус присоединения</t>
  </si>
  <si>
    <t>Срок действия ТУ, год</t>
  </si>
  <si>
    <t>Статус ТУ</t>
  </si>
  <si>
    <t>Временное</t>
  </si>
  <si>
    <t>Расчетная сумма по договору без НДС, руб.</t>
  </si>
  <si>
    <t>Фактическая сумма оплаты по договору с НДС, руб.</t>
  </si>
  <si>
    <t>Расчетная сумма по договору c НДС, руб.</t>
  </si>
  <si>
    <t>Тип организации</t>
  </si>
  <si>
    <t>Справочно: НДС, %</t>
  </si>
  <si>
    <t>нет</t>
  </si>
  <si>
    <t>Рассрочка платежа (есть/нет)</t>
  </si>
  <si>
    <t>Количество выполненных подключений:</t>
  </si>
  <si>
    <t>Кол-во источников для оплаты</t>
  </si>
  <si>
    <t>Месяц</t>
  </si>
  <si>
    <t>15 &lt; P &lt;= 150 кВт</t>
  </si>
  <si>
    <t>150 &lt; P &lt;= 670 кВт</t>
  </si>
  <si>
    <t>P &gt; 670 кВт</t>
  </si>
  <si>
    <t>Реестр технологических присоединений ООО "Электросети" ЗАТО Северск 2013</t>
  </si>
  <si>
    <t>п. Самусь</t>
  </si>
  <si>
    <t>основное</t>
  </si>
  <si>
    <t>ИП</t>
  </si>
  <si>
    <t>есть</t>
  </si>
  <si>
    <t>Земельный участок</t>
  </si>
  <si>
    <t>Жилой дом</t>
  </si>
  <si>
    <t>г. Северск</t>
  </si>
  <si>
    <t>Дата поступления заявки</t>
  </si>
  <si>
    <t>ЮЛ</t>
  </si>
  <si>
    <t>г. Северск, ул. Солнечная</t>
  </si>
  <si>
    <t>Строительная площадка ж/дома стр. №1.</t>
  </si>
  <si>
    <t>ТП-272, РУ-0,4кВ, ф.4</t>
  </si>
  <si>
    <t>08/108/13</t>
  </si>
  <si>
    <t>19.11.2013</t>
  </si>
  <si>
    <t>912</t>
  </si>
  <si>
    <t>Стройплощадка нежилого здания</t>
  </si>
  <si>
    <t>г. Северск, ул. Сосновая,16, строение №9</t>
  </si>
  <si>
    <t xml:space="preserve">ТП-213, РУ-0,4кВ, ф.6 </t>
  </si>
  <si>
    <t>08/109/13</t>
  </si>
  <si>
    <t>914</t>
  </si>
  <si>
    <t>г. Северск,  ул. Лесная, 13г, строение15</t>
  </si>
  <si>
    <t>ГРЩ , гр.№2 (от ТП-189, ф.7)</t>
  </si>
  <si>
    <t>физические лица, объединенные в ГК</t>
  </si>
  <si>
    <t>08/110/13</t>
  </si>
  <si>
    <t>20.11.2013</t>
  </si>
  <si>
    <t>921</t>
  </si>
  <si>
    <t>г. Северск, ул. проезд Новый,4</t>
  </si>
  <si>
    <t>08/111/13</t>
  </si>
  <si>
    <t>22.11.2013</t>
  </si>
  <si>
    <t>927</t>
  </si>
  <si>
    <t>10кВ: врезка в кабельные линии 10 кВ ТП-324, яч. 5 - ТП-327, яч.3 и ТП-324, яч.4 - ТП-327, яч.4;
0,4кВ: ТП-325, РУ-0,4кВ, ф3,15,11,19, 8и24</t>
  </si>
  <si>
    <t>10000 и 380</t>
  </si>
  <si>
    <t>Стройплощадка «Универсальный спортивный зал»</t>
  </si>
  <si>
    <t>г. Северск, пр. Коммунистический,56</t>
  </si>
  <si>
    <t>ТП-159, РУ-0,4кВ, ф.11</t>
  </si>
  <si>
    <t>08/112/13</t>
  </si>
  <si>
    <t>26.11.2013</t>
  </si>
  <si>
    <t>938</t>
  </si>
  <si>
    <t>г. Северск, ул. Чайковского,3А</t>
  </si>
  <si>
    <t xml:space="preserve">ВУ ж/д Чайковского,5 (от ТП-212, ф. 14);
ВУ ж/д ул. Чайковского, 3.
</t>
  </si>
  <si>
    <t>08/107/13</t>
  </si>
  <si>
    <t>18.11.2013</t>
  </si>
  <si>
    <t>913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</si>
</sst>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dd/mm/yy;@"/>
    <numFmt numFmtId="172" formatCode="mmm/yyyy"/>
  </numFmts>
  <fonts count="8">
    <font>
      <sz val="10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0"/>
    </font>
    <font>
      <b/>
      <sz val="12"/>
      <name val="Times New Roman"/>
      <family val="1"/>
    </font>
    <font>
      <sz val="8"/>
      <name val="Tahoma"/>
      <family val="2"/>
    </font>
    <font>
      <u val="single"/>
      <sz val="8.5"/>
      <color indexed="12"/>
      <name val="Times New Roman"/>
      <family val="0"/>
    </font>
    <font>
      <u val="single"/>
      <sz val="8.5"/>
      <color indexed="36"/>
      <name val="Times New Roman"/>
      <family val="0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168" fontId="2" fillId="0" borderId="0" xfId="0" applyNumberFormat="1" applyFont="1" applyFill="1" applyBorder="1" applyAlignment="1" applyProtection="1">
      <alignment horizontal="right" vertical="center" wrapText="1"/>
      <protection/>
    </xf>
    <xf numFmtId="14" fontId="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169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169" fontId="1" fillId="2" borderId="5" xfId="0" applyNumberFormat="1" applyFont="1" applyFill="1" applyBorder="1" applyAlignment="1" applyProtection="1">
      <alignment horizontal="right" vertical="center" wrapText="1"/>
      <protection/>
    </xf>
    <xf numFmtId="169" fontId="1" fillId="0" borderId="5" xfId="0" applyNumberFormat="1" applyFont="1" applyFill="1" applyBorder="1" applyAlignment="1" applyProtection="1">
      <alignment horizontal="right" vertical="center" wrapText="1"/>
      <protection/>
    </xf>
    <xf numFmtId="169" fontId="1" fillId="3" borderId="5" xfId="0" applyNumberFormat="1" applyFont="1" applyFill="1" applyBorder="1" applyAlignment="1" applyProtection="1">
      <alignment horizontal="right" vertical="center" wrapText="1"/>
      <protection/>
    </xf>
    <xf numFmtId="3" fontId="1" fillId="4" borderId="5" xfId="0" applyNumberFormat="1" applyFont="1" applyFill="1" applyBorder="1" applyAlignment="1" applyProtection="1">
      <alignment horizontal="right" vertical="center" wrapText="1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4" fontId="2" fillId="0" borderId="1" xfId="0" applyNumberFormat="1" applyFont="1" applyFill="1" applyBorder="1" applyAlignment="1" applyProtection="1">
      <alignment horizontal="left" vertical="center" wrapText="1"/>
      <protection/>
    </xf>
    <xf numFmtId="4" fontId="2" fillId="0" borderId="6" xfId="0" applyNumberFormat="1" applyFont="1" applyFill="1" applyBorder="1" applyAlignment="1" applyProtection="1">
      <alignment horizontal="left" vertical="center" wrapText="1"/>
      <protection/>
    </xf>
    <xf numFmtId="169" fontId="2" fillId="0" borderId="1" xfId="0" applyNumberFormat="1" applyFont="1" applyFill="1" applyBorder="1" applyAlignment="1" applyProtection="1">
      <alignment horizontal="left" vertical="center" wrapText="1"/>
      <protection/>
    </xf>
    <xf numFmtId="169" fontId="2" fillId="0" borderId="6" xfId="0" applyNumberFormat="1" applyFont="1" applyFill="1" applyBorder="1" applyAlignment="1" applyProtection="1">
      <alignment horizontal="left" vertical="center" wrapText="1"/>
      <protection/>
    </xf>
    <xf numFmtId="3" fontId="2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4" xfId="0" applyNumberFormat="1" applyFont="1" applyFill="1" applyBorder="1" applyAlignment="1" applyProtection="1">
      <alignment horizontal="left" vertical="center" wrapText="1"/>
      <protection/>
    </xf>
    <xf numFmtId="0" fontId="2" fillId="5" borderId="2" xfId="0" applyNumberFormat="1" applyFont="1" applyFill="1" applyBorder="1" applyAlignment="1" applyProtection="1">
      <alignment horizontal="left" vertical="center" wrapText="1"/>
      <protection/>
    </xf>
    <xf numFmtId="4" fontId="2" fillId="5" borderId="1" xfId="0" applyNumberFormat="1" applyFont="1" applyFill="1" applyBorder="1" applyAlignment="1" applyProtection="1">
      <alignment horizontal="right" vertical="center" wrapText="1"/>
      <protection/>
    </xf>
    <xf numFmtId="168" fontId="2" fillId="5" borderId="2" xfId="0" applyNumberFormat="1" applyFont="1" applyFill="1" applyBorder="1" applyAlignment="1" applyProtection="1">
      <alignment horizontal="right" vertical="center" wrapText="1"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9" fontId="0" fillId="0" borderId="0" xfId="0" applyNumberFormat="1" applyAlignment="1" applyProtection="1">
      <alignment/>
      <protection/>
    </xf>
    <xf numFmtId="3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  <protection/>
    </xf>
    <xf numFmtId="169" fontId="1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2" fontId="3" fillId="0" borderId="0" xfId="0" applyNumberFormat="1" applyFont="1" applyAlignment="1" applyProtection="1">
      <alignment horizontal="right" vertical="center" wrapText="1"/>
      <protection/>
    </xf>
    <xf numFmtId="169" fontId="2" fillId="0" borderId="0" xfId="0" applyNumberFormat="1" applyFont="1" applyFill="1" applyBorder="1" applyAlignment="1" applyProtection="1">
      <alignment horizontal="right" vertical="center" wrapText="1"/>
      <protection/>
    </xf>
    <xf numFmtId="169" fontId="2" fillId="0" borderId="6" xfId="0" applyNumberFormat="1" applyFont="1" applyFill="1" applyBorder="1" applyAlignment="1" applyProtection="1">
      <alignment horizontal="right" vertical="center" wrapText="1"/>
      <protection/>
    </xf>
    <xf numFmtId="169" fontId="2" fillId="0" borderId="5" xfId="0" applyNumberFormat="1" applyFont="1" applyFill="1" applyBorder="1" applyAlignment="1" applyProtection="1">
      <alignment horizontal="right" vertical="center" wrapText="1"/>
      <protection/>
    </xf>
    <xf numFmtId="3" fontId="2" fillId="0" borderId="6" xfId="0" applyNumberFormat="1" applyFont="1" applyFill="1" applyBorder="1" applyAlignment="1" applyProtection="1">
      <alignment horizontal="right" vertical="center" wrapText="1"/>
      <protection/>
    </xf>
    <xf numFmtId="3" fontId="2" fillId="0" borderId="5" xfId="0" applyNumberFormat="1" applyFont="1" applyFill="1" applyBorder="1" applyAlignment="1" applyProtection="1">
      <alignment horizontal="right" vertical="center"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4" fontId="2" fillId="0" borderId="8" xfId="0" applyNumberFormat="1" applyFont="1" applyFill="1" applyBorder="1" applyAlignment="1" applyProtection="1">
      <alignment horizontal="left" vertical="center" wrapText="1"/>
      <protection/>
    </xf>
    <xf numFmtId="4" fontId="2" fillId="0" borderId="2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0" fontId="0" fillId="0" borderId="5" xfId="0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left" vertical="center" wrapText="1"/>
      <protection locked="0"/>
    </xf>
    <xf numFmtId="169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14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5" xfId="0" applyNumberFormat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4" fontId="2" fillId="0" borderId="1" xfId="0" applyNumberFormat="1" applyFont="1" applyFill="1" applyBorder="1" applyAlignment="1" applyProtection="1">
      <alignment horizontal="center" vertical="center" wrapText="1"/>
      <protection/>
    </xf>
    <xf numFmtId="4" fontId="2" fillId="0" borderId="6" xfId="0" applyNumberFormat="1" applyFont="1" applyFill="1" applyBorder="1" applyAlignment="1" applyProtection="1">
      <alignment horizontal="center" vertical="center" wrapText="1"/>
      <protection/>
    </xf>
    <xf numFmtId="4" fontId="2" fillId="0" borderId="5" xfId="0" applyNumberFormat="1" applyFont="1" applyFill="1" applyBorder="1" applyAlignment="1" applyProtection="1">
      <alignment horizontal="center" vertical="center" wrapText="1"/>
      <protection/>
    </xf>
    <xf numFmtId="169" fontId="2" fillId="0" borderId="1" xfId="0" applyNumberFormat="1" applyFont="1" applyFill="1" applyBorder="1" applyAlignment="1" applyProtection="1">
      <alignment horizontal="center" vertical="center" wrapText="1"/>
      <protection/>
    </xf>
    <xf numFmtId="169" fontId="2" fillId="0" borderId="6" xfId="0" applyNumberFormat="1" applyFont="1" applyFill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5" xfId="0" applyFill="1" applyBorder="1" applyAlignment="1" applyProtection="1">
      <alignment horizontal="left" vertical="center" wrapText="1"/>
      <protection/>
    </xf>
    <xf numFmtId="0" fontId="0" fillId="0" borderId="3" xfId="0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I60"/>
  <sheetViews>
    <sheetView tabSelected="1" zoomScale="85" zoomScaleNormal="85" zoomScaleSheetLayoutView="100" workbookViewId="0" topLeftCell="A1">
      <pane ySplit="2" topLeftCell="BM12" activePane="bottomLeft" state="frozen"/>
      <selection pane="topLeft" activeCell="T1" sqref="T1"/>
      <selection pane="bottomLeft" activeCell="B12" sqref="B12"/>
    </sheetView>
  </sheetViews>
  <sheetFormatPr defaultColWidth="9.33203125" defaultRowHeight="12.75"/>
  <cols>
    <col min="1" max="1" width="9.33203125" style="6" customWidth="1"/>
    <col min="2" max="2" width="18.33203125" style="6" customWidth="1"/>
    <col min="3" max="3" width="16.5" style="6" customWidth="1"/>
    <col min="4" max="4" width="13.16015625" style="6" customWidth="1"/>
    <col min="5" max="5" width="11.33203125" style="6" customWidth="1"/>
    <col min="6" max="6" width="23.16015625" style="6" customWidth="1"/>
    <col min="7" max="7" width="20.33203125" style="6" customWidth="1"/>
    <col min="8" max="8" width="20.33203125" style="39" customWidth="1"/>
    <col min="9" max="9" width="30.83203125" style="6" customWidth="1"/>
    <col min="10" max="10" width="17.66015625" style="6" customWidth="1"/>
    <col min="11" max="12" width="30.83203125" style="6" customWidth="1"/>
    <col min="13" max="13" width="21.16015625" style="6" customWidth="1"/>
    <col min="14" max="15" width="23" style="6" customWidth="1"/>
    <col min="16" max="16" width="22.5" style="6" customWidth="1"/>
    <col min="17" max="18" width="18.5" style="6" customWidth="1"/>
    <col min="19" max="19" width="13.16015625" style="39" customWidth="1"/>
    <col min="20" max="20" width="18.83203125" style="6" customWidth="1"/>
    <col min="21" max="21" width="20.33203125" style="6" customWidth="1"/>
    <col min="22" max="22" width="13.16015625" style="39" customWidth="1"/>
    <col min="23" max="23" width="14.5" style="6" customWidth="1"/>
    <col min="24" max="24" width="17.5" style="39" customWidth="1"/>
    <col min="25" max="25" width="17.5" style="6" customWidth="1"/>
    <col min="26" max="26" width="18.33203125" style="6" customWidth="1"/>
    <col min="27" max="27" width="17" style="6" customWidth="1"/>
    <col min="28" max="28" width="14.66015625" style="39" customWidth="1"/>
    <col min="29" max="29" width="14.83203125" style="39" customWidth="1"/>
    <col min="30" max="30" width="13.16015625" style="39" customWidth="1"/>
    <col min="31" max="33" width="19" style="6" customWidth="1"/>
    <col min="34" max="34" width="18.16015625" style="6" customWidth="1"/>
    <col min="35" max="35" width="16" style="6" customWidth="1"/>
    <col min="36" max="16384" width="9.33203125" style="6" customWidth="1"/>
  </cols>
  <sheetData>
    <row r="1" spans="1:34" ht="18.75">
      <c r="A1" s="81" t="s">
        <v>87</v>
      </c>
      <c r="B1" s="82"/>
      <c r="C1" s="82"/>
      <c r="D1" s="82"/>
      <c r="E1" s="82"/>
      <c r="F1" s="82"/>
      <c r="AE1" s="47" t="s">
        <v>78</v>
      </c>
      <c r="AF1" s="61"/>
      <c r="AG1" s="61"/>
      <c r="AH1" s="48">
        <v>18</v>
      </c>
    </row>
    <row r="2" spans="1:35" ht="38.25">
      <c r="A2" s="8" t="s">
        <v>30</v>
      </c>
      <c r="B2" s="8" t="s">
        <v>33</v>
      </c>
      <c r="C2" s="8" t="s">
        <v>34</v>
      </c>
      <c r="D2" s="8" t="s">
        <v>56</v>
      </c>
      <c r="E2" s="8" t="s">
        <v>53</v>
      </c>
      <c r="F2" s="8" t="s">
        <v>65</v>
      </c>
      <c r="G2" s="8" t="s">
        <v>35</v>
      </c>
      <c r="H2" s="8" t="s">
        <v>77</v>
      </c>
      <c r="I2" s="8" t="s">
        <v>47</v>
      </c>
      <c r="J2" s="8" t="s">
        <v>48</v>
      </c>
      <c r="K2" s="8" t="s">
        <v>41</v>
      </c>
      <c r="L2" s="8" t="s">
        <v>49</v>
      </c>
      <c r="M2" s="8" t="s">
        <v>66</v>
      </c>
      <c r="N2" s="8" t="s">
        <v>74</v>
      </c>
      <c r="O2" s="8" t="s">
        <v>76</v>
      </c>
      <c r="P2" s="8" t="s">
        <v>75</v>
      </c>
      <c r="Q2" s="8" t="s">
        <v>67</v>
      </c>
      <c r="R2" s="8" t="s">
        <v>80</v>
      </c>
      <c r="S2" s="8" t="s">
        <v>60</v>
      </c>
      <c r="T2" s="8" t="s">
        <v>62</v>
      </c>
      <c r="U2" s="8" t="s">
        <v>61</v>
      </c>
      <c r="V2" s="8" t="s">
        <v>68</v>
      </c>
      <c r="W2" s="8" t="s">
        <v>69</v>
      </c>
      <c r="X2" s="8" t="s">
        <v>71</v>
      </c>
      <c r="Y2" s="8" t="s">
        <v>72</v>
      </c>
      <c r="Z2" s="8" t="s">
        <v>70</v>
      </c>
      <c r="AA2" s="8" t="s">
        <v>63</v>
      </c>
      <c r="AB2" s="8" t="s">
        <v>31</v>
      </c>
      <c r="AC2" s="8" t="s">
        <v>40</v>
      </c>
      <c r="AD2" s="8" t="s">
        <v>59</v>
      </c>
      <c r="AE2" s="8" t="s">
        <v>64</v>
      </c>
      <c r="AF2" s="8" t="s">
        <v>82</v>
      </c>
      <c r="AG2" s="8" t="s">
        <v>95</v>
      </c>
      <c r="AH2" s="8" t="s">
        <v>32</v>
      </c>
      <c r="AI2" s="8" t="s">
        <v>83</v>
      </c>
    </row>
    <row r="3" spans="1:35" s="28" customFormat="1" ht="86.25" customHeight="1">
      <c r="A3" s="9">
        <v>1</v>
      </c>
      <c r="B3" s="65" t="s">
        <v>92</v>
      </c>
      <c r="C3" s="65" t="s">
        <v>13</v>
      </c>
      <c r="D3" s="65" t="s">
        <v>10</v>
      </c>
      <c r="E3" s="65" t="s">
        <v>89</v>
      </c>
      <c r="F3" s="65" t="s">
        <v>14</v>
      </c>
      <c r="G3" s="65" t="s">
        <v>36</v>
      </c>
      <c r="H3" s="42"/>
      <c r="I3" s="66">
        <v>15</v>
      </c>
      <c r="J3" s="67">
        <v>0.98</v>
      </c>
      <c r="K3" s="33">
        <f aca="true" t="shared" si="0" ref="K3:K15">IF(OR(I3="",J3=""),"-",ROUND(I3/J3,1))</f>
        <v>15.3</v>
      </c>
      <c r="L3" s="31" t="str">
        <f aca="true" t="shared" si="1" ref="L3:L15">IF(OR(I3="",K3=""),"-",IF(I3&gt;670,"P &gt; 670 кВт",IF(I3&gt;150,"150 &lt; P &lt;= 670 кВт",IF(I3&gt;15,"15 &lt; P &lt;= 150 кВт",IF(I3&gt;15,"15 &lt; P &lt;= 150 кВт",IF(I3&lt;=15,"P &lt;= 15 кВт","ошибка"))))))</f>
        <v>P &lt;= 15 кВт</v>
      </c>
      <c r="M3" s="1">
        <v>550</v>
      </c>
      <c r="N3" s="32">
        <f aca="true" t="shared" si="2" ref="N3:N15">IF(OR(L3="",L3="-"),"-",IF(L3=$G$39,M3/1.18,ROUND(I3*M3*AF3,2)))</f>
        <v>466.10169491525426</v>
      </c>
      <c r="O3" s="32">
        <f aca="true" t="shared" si="3" ref="O3:O15">ROUND(N3*(1+$AH$1/100),2)</f>
        <v>550</v>
      </c>
      <c r="P3" s="1">
        <v>550</v>
      </c>
      <c r="Q3" s="29">
        <v>41584</v>
      </c>
      <c r="R3" s="68" t="s">
        <v>79</v>
      </c>
      <c r="S3" s="69" t="s">
        <v>15</v>
      </c>
      <c r="T3" s="69" t="s">
        <v>11</v>
      </c>
      <c r="U3" s="68">
        <v>41584</v>
      </c>
      <c r="V3" s="69" t="s">
        <v>16</v>
      </c>
      <c r="W3" s="68">
        <v>41576</v>
      </c>
      <c r="X3" s="43">
        <v>2</v>
      </c>
      <c r="Y3" s="30" t="str">
        <f aca="true" ca="1" t="shared" si="4" ref="Y3:Y15">IF(OR(W3="",W3="-"),"-",IF(DATE(YEAR(W3)+X3,MONTH(W3)+0,DAY(W3)+0)&gt;=TODAY(),"Действует","Прекращено"))</f>
        <v>Прекращено</v>
      </c>
      <c r="Z3" s="30" t="str">
        <f aca="true" t="shared" si="5" ref="Z3:Z15">IF(OR(AA3="",AA3="-"),"Не выполнено","Выполнено")</f>
        <v>Не выполнено</v>
      </c>
      <c r="AA3" s="29"/>
      <c r="AB3" s="42">
        <v>3</v>
      </c>
      <c r="AC3" s="43">
        <v>0.4</v>
      </c>
      <c r="AD3" s="46">
        <v>380</v>
      </c>
      <c r="AE3" s="30" t="str">
        <f aca="true" t="shared" si="6" ref="AE3:AE15">IF(AND(OR(S3="",S3="-"),OR(T3="",T3="-")),"Не заключен",IF(OR(U3="",U3="-"),"В оформлении","Заключен"))</f>
        <v>Заключен</v>
      </c>
      <c r="AF3" s="62">
        <v>1</v>
      </c>
      <c r="AG3" s="70">
        <v>41564</v>
      </c>
      <c r="AH3" s="65"/>
      <c r="AI3" s="64" t="s">
        <v>12</v>
      </c>
    </row>
    <row r="4" spans="1:35" s="28" customFormat="1" ht="86.25" customHeight="1">
      <c r="A4" s="9">
        <v>2</v>
      </c>
      <c r="B4" s="65" t="s">
        <v>93</v>
      </c>
      <c r="C4" s="65" t="s">
        <v>17</v>
      </c>
      <c r="D4" s="65" t="s">
        <v>88</v>
      </c>
      <c r="E4" s="65" t="s">
        <v>89</v>
      </c>
      <c r="F4" s="65" t="s">
        <v>18</v>
      </c>
      <c r="G4" s="65" t="s">
        <v>36</v>
      </c>
      <c r="H4" s="42"/>
      <c r="I4" s="66">
        <v>12</v>
      </c>
      <c r="J4" s="67">
        <v>0.98</v>
      </c>
      <c r="K4" s="33">
        <f t="shared" si="0"/>
        <v>12.2</v>
      </c>
      <c r="L4" s="31" t="str">
        <f t="shared" si="1"/>
        <v>P &lt;= 15 кВт</v>
      </c>
      <c r="M4" s="1">
        <v>550</v>
      </c>
      <c r="N4" s="32">
        <f t="shared" si="2"/>
        <v>466.10169491525426</v>
      </c>
      <c r="O4" s="32">
        <f t="shared" si="3"/>
        <v>550</v>
      </c>
      <c r="P4" s="1"/>
      <c r="Q4" s="29"/>
      <c r="R4" s="68" t="s">
        <v>79</v>
      </c>
      <c r="S4" s="69" t="s">
        <v>19</v>
      </c>
      <c r="T4" s="69" t="s">
        <v>11</v>
      </c>
      <c r="U4" s="68">
        <v>41583</v>
      </c>
      <c r="V4" s="69" t="s">
        <v>20</v>
      </c>
      <c r="W4" s="68">
        <v>41576</v>
      </c>
      <c r="X4" s="43">
        <v>2</v>
      </c>
      <c r="Y4" s="30" t="str">
        <f ca="1" t="shared" si="4"/>
        <v>Прекращено</v>
      </c>
      <c r="Z4" s="30" t="str">
        <f t="shared" si="5"/>
        <v>Не выполнено</v>
      </c>
      <c r="AA4" s="29"/>
      <c r="AB4" s="42">
        <v>3</v>
      </c>
      <c r="AC4" s="43">
        <v>0.4</v>
      </c>
      <c r="AD4" s="46">
        <v>380</v>
      </c>
      <c r="AE4" s="30" t="str">
        <f t="shared" si="6"/>
        <v>Заключен</v>
      </c>
      <c r="AF4" s="62">
        <v>1</v>
      </c>
      <c r="AG4" s="70">
        <v>41576</v>
      </c>
      <c r="AH4" s="65"/>
      <c r="AI4" s="64" t="s">
        <v>12</v>
      </c>
    </row>
    <row r="5" spans="1:35" s="28" customFormat="1" ht="86.25" customHeight="1">
      <c r="A5" s="9">
        <v>3</v>
      </c>
      <c r="B5" s="65" t="s">
        <v>21</v>
      </c>
      <c r="C5" s="65" t="s">
        <v>22</v>
      </c>
      <c r="D5" s="65" t="s">
        <v>94</v>
      </c>
      <c r="E5" s="65" t="s">
        <v>89</v>
      </c>
      <c r="F5" s="65" t="s">
        <v>27</v>
      </c>
      <c r="G5" s="65" t="s">
        <v>36</v>
      </c>
      <c r="H5" s="42"/>
      <c r="I5" s="66">
        <v>22</v>
      </c>
      <c r="J5" s="67">
        <v>0.98</v>
      </c>
      <c r="K5" s="33">
        <f t="shared" si="0"/>
        <v>22.4</v>
      </c>
      <c r="L5" s="31" t="str">
        <f t="shared" si="1"/>
        <v>15 &lt; P &lt;= 150 кВт</v>
      </c>
      <c r="M5" s="1">
        <v>1616.73</v>
      </c>
      <c r="N5" s="32">
        <f t="shared" si="2"/>
        <v>35568.06</v>
      </c>
      <c r="O5" s="32">
        <f t="shared" si="3"/>
        <v>41970.31</v>
      </c>
      <c r="P5" s="1"/>
      <c r="Q5" s="29"/>
      <c r="R5" s="68" t="s">
        <v>79</v>
      </c>
      <c r="S5" s="69" t="s">
        <v>24</v>
      </c>
      <c r="T5" s="69" t="s">
        <v>11</v>
      </c>
      <c r="U5" s="68">
        <v>41584</v>
      </c>
      <c r="V5" s="69" t="s">
        <v>26</v>
      </c>
      <c r="W5" s="68">
        <v>41577</v>
      </c>
      <c r="X5" s="43">
        <v>2</v>
      </c>
      <c r="Y5" s="30" t="str">
        <f ca="1" t="shared" si="4"/>
        <v>Прекращено</v>
      </c>
      <c r="Z5" s="30" t="str">
        <f t="shared" si="5"/>
        <v>Не выполнено</v>
      </c>
      <c r="AA5" s="29"/>
      <c r="AB5" s="42">
        <v>3</v>
      </c>
      <c r="AC5" s="43">
        <v>0.4</v>
      </c>
      <c r="AD5" s="46">
        <v>380</v>
      </c>
      <c r="AE5" s="30" t="str">
        <f t="shared" si="6"/>
        <v>Заключен</v>
      </c>
      <c r="AF5" s="62">
        <v>1</v>
      </c>
      <c r="AG5" s="70">
        <v>41570</v>
      </c>
      <c r="AH5" s="65"/>
      <c r="AI5" s="64" t="s">
        <v>12</v>
      </c>
    </row>
    <row r="6" spans="1:35" s="28" customFormat="1" ht="86.25" customHeight="1">
      <c r="A6" s="9">
        <v>4</v>
      </c>
      <c r="B6" s="65" t="s">
        <v>21</v>
      </c>
      <c r="C6" s="65" t="s">
        <v>22</v>
      </c>
      <c r="D6" s="65" t="s">
        <v>94</v>
      </c>
      <c r="E6" s="65" t="s">
        <v>89</v>
      </c>
      <c r="F6" s="65" t="s">
        <v>23</v>
      </c>
      <c r="G6" s="65" t="s">
        <v>36</v>
      </c>
      <c r="H6" s="42"/>
      <c r="I6" s="66">
        <v>22</v>
      </c>
      <c r="J6" s="67">
        <v>0.98</v>
      </c>
      <c r="K6" s="33">
        <f t="shared" si="0"/>
        <v>22.4</v>
      </c>
      <c r="L6" s="31" t="str">
        <f t="shared" si="1"/>
        <v>15 &lt; P &lt;= 150 кВт</v>
      </c>
      <c r="M6" s="1">
        <v>1616.73</v>
      </c>
      <c r="N6" s="32">
        <f t="shared" si="2"/>
        <v>35568.06</v>
      </c>
      <c r="O6" s="32">
        <f t="shared" si="3"/>
        <v>41970.31</v>
      </c>
      <c r="P6" s="1"/>
      <c r="Q6" s="29"/>
      <c r="R6" s="68" t="s">
        <v>79</v>
      </c>
      <c r="S6" s="69" t="s">
        <v>28</v>
      </c>
      <c r="T6" s="69" t="s">
        <v>25</v>
      </c>
      <c r="U6" s="68">
        <v>41584</v>
      </c>
      <c r="V6" s="69" t="s">
        <v>29</v>
      </c>
      <c r="W6" s="68">
        <v>41577</v>
      </c>
      <c r="X6" s="43">
        <v>2</v>
      </c>
      <c r="Y6" s="30" t="str">
        <f ca="1" t="shared" si="4"/>
        <v>Прекращено</v>
      </c>
      <c r="Z6" s="30" t="str">
        <f t="shared" si="5"/>
        <v>Не выполнено</v>
      </c>
      <c r="AA6" s="29"/>
      <c r="AB6" s="42">
        <v>3</v>
      </c>
      <c r="AC6" s="43">
        <v>0.4</v>
      </c>
      <c r="AD6" s="46">
        <v>380</v>
      </c>
      <c r="AE6" s="30" t="str">
        <f t="shared" si="6"/>
        <v>Заключен</v>
      </c>
      <c r="AF6" s="62">
        <v>1</v>
      </c>
      <c r="AG6" s="70">
        <v>41570</v>
      </c>
      <c r="AH6" s="65"/>
      <c r="AI6" s="64" t="s">
        <v>12</v>
      </c>
    </row>
    <row r="7" spans="1:35" s="28" customFormat="1" ht="86.25" customHeight="1">
      <c r="A7" s="9">
        <v>5</v>
      </c>
      <c r="B7" s="65" t="s">
        <v>92</v>
      </c>
      <c r="C7" s="65" t="s">
        <v>0</v>
      </c>
      <c r="D7" s="65" t="s">
        <v>94</v>
      </c>
      <c r="E7" s="65" t="s">
        <v>89</v>
      </c>
      <c r="F7" s="65" t="s">
        <v>1</v>
      </c>
      <c r="G7" s="65" t="s">
        <v>36</v>
      </c>
      <c r="H7" s="42"/>
      <c r="I7" s="66">
        <v>6</v>
      </c>
      <c r="J7" s="67">
        <v>0.98</v>
      </c>
      <c r="K7" s="33">
        <f t="shared" si="0"/>
        <v>6.1</v>
      </c>
      <c r="L7" s="31" t="str">
        <f t="shared" si="1"/>
        <v>P &lt;= 15 кВт</v>
      </c>
      <c r="M7" s="1">
        <v>550</v>
      </c>
      <c r="N7" s="32">
        <f t="shared" si="2"/>
        <v>466.10169491525426</v>
      </c>
      <c r="O7" s="32">
        <f t="shared" si="3"/>
        <v>550</v>
      </c>
      <c r="P7" s="1"/>
      <c r="Q7" s="29"/>
      <c r="R7" s="68" t="s">
        <v>79</v>
      </c>
      <c r="S7" s="69" t="s">
        <v>2</v>
      </c>
      <c r="T7" s="69" t="s">
        <v>3</v>
      </c>
      <c r="U7" s="68"/>
      <c r="V7" s="69" t="s">
        <v>4</v>
      </c>
      <c r="W7" s="68">
        <v>41590</v>
      </c>
      <c r="X7" s="43">
        <v>2</v>
      </c>
      <c r="Y7" s="30" t="str">
        <f ca="1" t="shared" si="4"/>
        <v>Прекращено</v>
      </c>
      <c r="Z7" s="30" t="str">
        <f t="shared" si="5"/>
        <v>Не выполнено</v>
      </c>
      <c r="AA7" s="29"/>
      <c r="AB7" s="42">
        <v>3</v>
      </c>
      <c r="AC7" s="43">
        <v>0.4</v>
      </c>
      <c r="AD7" s="46">
        <v>220</v>
      </c>
      <c r="AE7" s="30" t="str">
        <f t="shared" si="6"/>
        <v>В оформлении</v>
      </c>
      <c r="AF7" s="62">
        <v>1</v>
      </c>
      <c r="AG7" s="70">
        <v>41572</v>
      </c>
      <c r="AH7" s="65"/>
      <c r="AI7" s="64" t="s">
        <v>12</v>
      </c>
    </row>
    <row r="8" spans="1:35" s="28" customFormat="1" ht="86.25" customHeight="1">
      <c r="A8" s="9">
        <v>6</v>
      </c>
      <c r="B8" s="65" t="s">
        <v>5</v>
      </c>
      <c r="C8" s="65" t="s">
        <v>6</v>
      </c>
      <c r="D8" s="65" t="s">
        <v>94</v>
      </c>
      <c r="E8" s="65" t="s">
        <v>89</v>
      </c>
      <c r="F8" s="65" t="s">
        <v>7</v>
      </c>
      <c r="G8" s="65" t="s">
        <v>39</v>
      </c>
      <c r="H8" s="42" t="s">
        <v>90</v>
      </c>
      <c r="I8" s="66">
        <v>129</v>
      </c>
      <c r="J8" s="67">
        <v>0.98</v>
      </c>
      <c r="K8" s="33">
        <f t="shared" si="0"/>
        <v>131.6</v>
      </c>
      <c r="L8" s="31" t="str">
        <f t="shared" si="1"/>
        <v>15 &lt; P &lt;= 150 кВт</v>
      </c>
      <c r="M8" s="1">
        <v>177.61</v>
      </c>
      <c r="N8" s="32">
        <f t="shared" si="2"/>
        <v>45823.38</v>
      </c>
      <c r="O8" s="32">
        <f t="shared" si="3"/>
        <v>54071.59</v>
      </c>
      <c r="P8" s="1"/>
      <c r="Q8" s="29"/>
      <c r="R8" s="68" t="s">
        <v>91</v>
      </c>
      <c r="S8" s="69" t="s">
        <v>8</v>
      </c>
      <c r="T8" s="69" t="s">
        <v>3</v>
      </c>
      <c r="U8" s="68">
        <v>41607</v>
      </c>
      <c r="V8" s="69" t="s">
        <v>9</v>
      </c>
      <c r="W8" s="68">
        <v>41590</v>
      </c>
      <c r="X8" s="43">
        <v>2</v>
      </c>
      <c r="Y8" s="30" t="str">
        <f ca="1" t="shared" si="4"/>
        <v>Прекращено</v>
      </c>
      <c r="Z8" s="30" t="str">
        <f t="shared" si="5"/>
        <v>Не выполнено</v>
      </c>
      <c r="AA8" s="29"/>
      <c r="AB8" s="42">
        <v>2</v>
      </c>
      <c r="AC8" s="43">
        <v>0.4</v>
      </c>
      <c r="AD8" s="46">
        <v>380</v>
      </c>
      <c r="AE8" s="30" t="str">
        <f t="shared" si="6"/>
        <v>Заключен</v>
      </c>
      <c r="AF8" s="62">
        <v>2</v>
      </c>
      <c r="AG8" s="70">
        <v>41577</v>
      </c>
      <c r="AH8" s="65"/>
      <c r="AI8" s="64" t="s">
        <v>12</v>
      </c>
    </row>
    <row r="9" spans="1:35" s="28" customFormat="1" ht="0.75" customHeight="1">
      <c r="A9" s="9">
        <v>7</v>
      </c>
      <c r="B9" s="65"/>
      <c r="C9" s="65"/>
      <c r="D9" s="65"/>
      <c r="E9" s="65"/>
      <c r="F9" s="65"/>
      <c r="G9" s="65"/>
      <c r="H9" s="42"/>
      <c r="I9" s="66"/>
      <c r="J9" s="67"/>
      <c r="K9" s="33" t="str">
        <f t="shared" si="0"/>
        <v>-</v>
      </c>
      <c r="L9" s="31" t="str">
        <f t="shared" si="1"/>
        <v>-</v>
      </c>
      <c r="M9" s="1"/>
      <c r="N9" s="32" t="str">
        <f t="shared" si="2"/>
        <v>-</v>
      </c>
      <c r="O9" s="32" t="e">
        <f t="shared" si="3"/>
        <v>#VALUE!</v>
      </c>
      <c r="P9" s="1"/>
      <c r="Q9" s="29"/>
      <c r="R9" s="68"/>
      <c r="S9" s="69"/>
      <c r="T9" s="69"/>
      <c r="U9" s="68"/>
      <c r="V9" s="69"/>
      <c r="W9" s="68"/>
      <c r="X9" s="43"/>
      <c r="Y9" s="30" t="str">
        <f ca="1" t="shared" si="4"/>
        <v>-</v>
      </c>
      <c r="Z9" s="30" t="str">
        <f t="shared" si="5"/>
        <v>Не выполнено</v>
      </c>
      <c r="AA9" s="29"/>
      <c r="AB9" s="42"/>
      <c r="AC9" s="43"/>
      <c r="AD9" s="46"/>
      <c r="AE9" s="30" t="str">
        <f t="shared" si="6"/>
        <v>Не заключен</v>
      </c>
      <c r="AF9" s="62"/>
      <c r="AG9" s="70"/>
      <c r="AH9" s="65"/>
      <c r="AI9" s="64"/>
    </row>
    <row r="10" spans="1:35" s="28" customFormat="1" ht="86.25" customHeight="1">
      <c r="A10" s="9">
        <v>8</v>
      </c>
      <c r="B10" s="65" t="s">
        <v>93</v>
      </c>
      <c r="C10" s="65" t="s">
        <v>126</v>
      </c>
      <c r="D10" s="65" t="s">
        <v>94</v>
      </c>
      <c r="E10" s="65" t="s">
        <v>89</v>
      </c>
      <c r="F10" s="65" t="s">
        <v>127</v>
      </c>
      <c r="G10" s="65" t="s">
        <v>36</v>
      </c>
      <c r="H10" s="42"/>
      <c r="I10" s="66">
        <v>15</v>
      </c>
      <c r="J10" s="67">
        <v>0.98</v>
      </c>
      <c r="K10" s="33">
        <f t="shared" si="0"/>
        <v>15.3</v>
      </c>
      <c r="L10" s="31" t="str">
        <f t="shared" si="1"/>
        <v>P &lt;= 15 кВт</v>
      </c>
      <c r="M10" s="1">
        <v>550</v>
      </c>
      <c r="N10" s="32">
        <f t="shared" si="2"/>
        <v>466.10169491525426</v>
      </c>
      <c r="O10" s="32">
        <f t="shared" si="3"/>
        <v>550</v>
      </c>
      <c r="P10" s="1">
        <v>550</v>
      </c>
      <c r="Q10" s="29">
        <v>41603</v>
      </c>
      <c r="R10" s="68" t="s">
        <v>79</v>
      </c>
      <c r="S10" s="69" t="s">
        <v>128</v>
      </c>
      <c r="T10" s="69" t="s">
        <v>129</v>
      </c>
      <c r="U10" s="68">
        <v>41603</v>
      </c>
      <c r="V10" s="69" t="s">
        <v>130</v>
      </c>
      <c r="W10" s="68">
        <v>41596</v>
      </c>
      <c r="X10" s="43">
        <v>2</v>
      </c>
      <c r="Y10" s="30" t="str">
        <f ca="1" t="shared" si="4"/>
        <v>Прекращено</v>
      </c>
      <c r="Z10" s="30" t="str">
        <f t="shared" si="5"/>
        <v>Выполнено</v>
      </c>
      <c r="AA10" s="29">
        <v>41606</v>
      </c>
      <c r="AB10" s="42">
        <v>3</v>
      </c>
      <c r="AC10" s="43">
        <v>0.4</v>
      </c>
      <c r="AD10" s="46">
        <v>380</v>
      </c>
      <c r="AE10" s="30" t="str">
        <f t="shared" si="6"/>
        <v>Заключен</v>
      </c>
      <c r="AF10" s="62">
        <v>1</v>
      </c>
      <c r="AG10" s="70">
        <v>41591</v>
      </c>
      <c r="AH10" s="65"/>
      <c r="AI10" s="64" t="s">
        <v>12</v>
      </c>
    </row>
    <row r="11" spans="1:35" s="28" customFormat="1" ht="86.25" customHeight="1">
      <c r="A11" s="9">
        <v>9</v>
      </c>
      <c r="B11" s="65" t="s">
        <v>98</v>
      </c>
      <c r="C11" s="65" t="s">
        <v>97</v>
      </c>
      <c r="D11" s="65" t="s">
        <v>94</v>
      </c>
      <c r="E11" s="65" t="s">
        <v>89</v>
      </c>
      <c r="F11" s="65" t="s">
        <v>99</v>
      </c>
      <c r="G11" s="65" t="s">
        <v>39</v>
      </c>
      <c r="H11" s="42" t="s">
        <v>96</v>
      </c>
      <c r="I11" s="66">
        <v>200</v>
      </c>
      <c r="J11" s="67">
        <v>0.98</v>
      </c>
      <c r="K11" s="33">
        <f t="shared" si="0"/>
        <v>204.1</v>
      </c>
      <c r="L11" s="31" t="str">
        <f t="shared" si="1"/>
        <v>150 &lt; P &lt;= 670 кВт</v>
      </c>
      <c r="M11" s="1">
        <v>177.61</v>
      </c>
      <c r="N11" s="32">
        <f t="shared" si="2"/>
        <v>35522</v>
      </c>
      <c r="O11" s="32">
        <f t="shared" si="3"/>
        <v>41915.96</v>
      </c>
      <c r="P11" s="1"/>
      <c r="Q11" s="29"/>
      <c r="R11" s="68" t="s">
        <v>79</v>
      </c>
      <c r="S11" s="69" t="s">
        <v>100</v>
      </c>
      <c r="T11" s="69" t="s">
        <v>101</v>
      </c>
      <c r="U11" s="68"/>
      <c r="V11" s="69" t="s">
        <v>102</v>
      </c>
      <c r="W11" s="68">
        <v>41596</v>
      </c>
      <c r="X11" s="43">
        <v>2</v>
      </c>
      <c r="Y11" s="30" t="str">
        <f ca="1" t="shared" si="4"/>
        <v>Прекращено</v>
      </c>
      <c r="Z11" s="30" t="str">
        <f t="shared" si="5"/>
        <v>Не выполнено</v>
      </c>
      <c r="AA11" s="29"/>
      <c r="AB11" s="42">
        <v>3</v>
      </c>
      <c r="AC11" s="43">
        <v>0.4</v>
      </c>
      <c r="AD11" s="46">
        <v>380</v>
      </c>
      <c r="AE11" s="30" t="str">
        <f t="shared" si="6"/>
        <v>В оформлении</v>
      </c>
      <c r="AF11" s="62">
        <v>1</v>
      </c>
      <c r="AG11" s="70">
        <v>41591</v>
      </c>
      <c r="AH11" s="65"/>
      <c r="AI11" s="64" t="s">
        <v>12</v>
      </c>
    </row>
    <row r="12" spans="1:35" s="28" customFormat="1" ht="86.25" customHeight="1">
      <c r="A12" s="9">
        <v>10</v>
      </c>
      <c r="B12" s="65" t="s">
        <v>103</v>
      </c>
      <c r="C12" s="65" t="s">
        <v>104</v>
      </c>
      <c r="D12" s="65" t="s">
        <v>94</v>
      </c>
      <c r="E12" s="65" t="s">
        <v>89</v>
      </c>
      <c r="F12" s="65" t="s">
        <v>105</v>
      </c>
      <c r="G12" s="65" t="s">
        <v>36</v>
      </c>
      <c r="H12" s="42"/>
      <c r="I12" s="66">
        <v>25</v>
      </c>
      <c r="J12" s="67">
        <v>0.98</v>
      </c>
      <c r="K12" s="33">
        <f t="shared" si="0"/>
        <v>25.5</v>
      </c>
      <c r="L12" s="31" t="str">
        <f t="shared" si="1"/>
        <v>15 &lt; P &lt;= 150 кВт</v>
      </c>
      <c r="M12" s="1">
        <v>177.61</v>
      </c>
      <c r="N12" s="32">
        <f t="shared" si="2"/>
        <v>4440.25</v>
      </c>
      <c r="O12" s="32">
        <f t="shared" si="3"/>
        <v>5239.5</v>
      </c>
      <c r="P12" s="1">
        <v>5239.5</v>
      </c>
      <c r="Q12" s="29">
        <v>41613</v>
      </c>
      <c r="R12" s="68" t="s">
        <v>79</v>
      </c>
      <c r="S12" s="69" t="s">
        <v>106</v>
      </c>
      <c r="T12" s="69" t="s">
        <v>101</v>
      </c>
      <c r="U12" s="68">
        <v>41599</v>
      </c>
      <c r="V12" s="69" t="s">
        <v>107</v>
      </c>
      <c r="W12" s="68">
        <v>41596</v>
      </c>
      <c r="X12" s="43">
        <v>2</v>
      </c>
      <c r="Y12" s="30" t="str">
        <f ca="1" t="shared" si="4"/>
        <v>Прекращено</v>
      </c>
      <c r="Z12" s="30" t="str">
        <f t="shared" si="5"/>
        <v>Выполнено</v>
      </c>
      <c r="AA12" s="29">
        <v>41613</v>
      </c>
      <c r="AB12" s="42">
        <v>3</v>
      </c>
      <c r="AC12" s="43">
        <v>0.4</v>
      </c>
      <c r="AD12" s="46">
        <v>380</v>
      </c>
      <c r="AE12" s="30" t="str">
        <f t="shared" si="6"/>
        <v>Заключен</v>
      </c>
      <c r="AF12" s="62">
        <v>1</v>
      </c>
      <c r="AG12" s="70">
        <v>41589</v>
      </c>
      <c r="AH12" s="65"/>
      <c r="AI12" s="64" t="s">
        <v>12</v>
      </c>
    </row>
    <row r="13" spans="1:35" s="28" customFormat="1" ht="86.25" customHeight="1">
      <c r="A13" s="9">
        <v>11</v>
      </c>
      <c r="B13" s="65" t="s">
        <v>21</v>
      </c>
      <c r="C13" s="65" t="s">
        <v>108</v>
      </c>
      <c r="D13" s="65" t="s">
        <v>94</v>
      </c>
      <c r="E13" s="65" t="s">
        <v>89</v>
      </c>
      <c r="F13" s="65" t="s">
        <v>109</v>
      </c>
      <c r="G13" s="65" t="s">
        <v>110</v>
      </c>
      <c r="H13" s="42"/>
      <c r="I13" s="66">
        <v>16</v>
      </c>
      <c r="J13" s="67">
        <v>0.98</v>
      </c>
      <c r="K13" s="33">
        <f t="shared" si="0"/>
        <v>16.3</v>
      </c>
      <c r="L13" s="31" t="str">
        <f t="shared" si="1"/>
        <v>15 &lt; P &lt;= 150 кВт</v>
      </c>
      <c r="M13" s="1"/>
      <c r="N13" s="32">
        <f t="shared" si="2"/>
        <v>0</v>
      </c>
      <c r="O13" s="32">
        <f t="shared" si="3"/>
        <v>0</v>
      </c>
      <c r="P13" s="1"/>
      <c r="Q13" s="29"/>
      <c r="R13" s="68" t="s">
        <v>79</v>
      </c>
      <c r="S13" s="69" t="s">
        <v>111</v>
      </c>
      <c r="T13" s="69" t="s">
        <v>112</v>
      </c>
      <c r="U13" s="68">
        <v>41604</v>
      </c>
      <c r="V13" s="69" t="s">
        <v>113</v>
      </c>
      <c r="W13" s="68">
        <v>41598</v>
      </c>
      <c r="X13" s="43">
        <v>2</v>
      </c>
      <c r="Y13" s="30" t="str">
        <f ca="1" t="shared" si="4"/>
        <v>Прекращено</v>
      </c>
      <c r="Z13" s="30" t="str">
        <f t="shared" si="5"/>
        <v>Не выполнено</v>
      </c>
      <c r="AA13" s="29"/>
      <c r="AB13" s="42">
        <v>3</v>
      </c>
      <c r="AC13" s="43">
        <v>0.4</v>
      </c>
      <c r="AD13" s="46">
        <v>380</v>
      </c>
      <c r="AE13" s="30" t="str">
        <f t="shared" si="6"/>
        <v>Заключен</v>
      </c>
      <c r="AF13" s="62">
        <v>1</v>
      </c>
      <c r="AG13" s="70">
        <v>41589</v>
      </c>
      <c r="AH13" s="65"/>
      <c r="AI13" s="64" t="s">
        <v>12</v>
      </c>
    </row>
    <row r="14" spans="1:35" s="28" customFormat="1" ht="104.25" customHeight="1">
      <c r="A14" s="9">
        <v>12</v>
      </c>
      <c r="B14" s="65" t="s">
        <v>93</v>
      </c>
      <c r="C14" s="65" t="s">
        <v>114</v>
      </c>
      <c r="D14" s="65" t="s">
        <v>94</v>
      </c>
      <c r="E14" s="65" t="s">
        <v>89</v>
      </c>
      <c r="F14" s="65" t="s">
        <v>118</v>
      </c>
      <c r="G14" s="65" t="s">
        <v>39</v>
      </c>
      <c r="H14" s="42" t="s">
        <v>96</v>
      </c>
      <c r="I14" s="66">
        <v>406</v>
      </c>
      <c r="J14" s="67">
        <v>0.98</v>
      </c>
      <c r="K14" s="33">
        <f t="shared" si="0"/>
        <v>414.3</v>
      </c>
      <c r="L14" s="31" t="str">
        <f t="shared" si="1"/>
        <v>150 &lt; P &lt;= 670 кВт</v>
      </c>
      <c r="M14" s="1">
        <v>177.61</v>
      </c>
      <c r="N14" s="32">
        <f t="shared" si="2"/>
        <v>72109.66</v>
      </c>
      <c r="O14" s="32">
        <f t="shared" si="3"/>
        <v>85089.4</v>
      </c>
      <c r="P14" s="1"/>
      <c r="Q14" s="29"/>
      <c r="R14" s="68" t="s">
        <v>79</v>
      </c>
      <c r="S14" s="69" t="s">
        <v>115</v>
      </c>
      <c r="T14" s="69" t="s">
        <v>116</v>
      </c>
      <c r="U14" s="68"/>
      <c r="V14" s="69" t="s">
        <v>117</v>
      </c>
      <c r="W14" s="68">
        <v>41599</v>
      </c>
      <c r="X14" s="43">
        <v>2</v>
      </c>
      <c r="Y14" s="30" t="str">
        <f ca="1" t="shared" si="4"/>
        <v>Прекращено</v>
      </c>
      <c r="Z14" s="30" t="str">
        <f t="shared" si="5"/>
        <v>Не выполнено</v>
      </c>
      <c r="AA14" s="29"/>
      <c r="AB14" s="42">
        <v>2</v>
      </c>
      <c r="AC14" s="43">
        <v>0.4</v>
      </c>
      <c r="AD14" s="46" t="s">
        <v>119</v>
      </c>
      <c r="AE14" s="30" t="str">
        <f t="shared" si="6"/>
        <v>В оформлении</v>
      </c>
      <c r="AF14" s="62">
        <v>1</v>
      </c>
      <c r="AG14" s="70">
        <v>41597</v>
      </c>
      <c r="AH14" s="65"/>
      <c r="AI14" s="64" t="s">
        <v>12</v>
      </c>
    </row>
    <row r="15" spans="1:35" s="28" customFormat="1" ht="129.75" customHeight="1">
      <c r="A15" s="9">
        <v>13</v>
      </c>
      <c r="B15" s="65" t="s">
        <v>120</v>
      </c>
      <c r="C15" s="65" t="s">
        <v>121</v>
      </c>
      <c r="D15" s="65" t="s">
        <v>94</v>
      </c>
      <c r="E15" s="65" t="s">
        <v>89</v>
      </c>
      <c r="F15" s="65" t="s">
        <v>122</v>
      </c>
      <c r="G15" s="65" t="s">
        <v>39</v>
      </c>
      <c r="H15" s="42" t="s">
        <v>96</v>
      </c>
      <c r="I15" s="66">
        <v>125</v>
      </c>
      <c r="J15" s="67">
        <v>0.98</v>
      </c>
      <c r="K15" s="33">
        <f t="shared" si="0"/>
        <v>127.6</v>
      </c>
      <c r="L15" s="31" t="str">
        <f t="shared" si="1"/>
        <v>15 &lt; P &lt;= 150 кВт</v>
      </c>
      <c r="M15" s="1">
        <v>177.61</v>
      </c>
      <c r="N15" s="32">
        <f t="shared" si="2"/>
        <v>22201.25</v>
      </c>
      <c r="O15" s="32">
        <f t="shared" si="3"/>
        <v>26197.48</v>
      </c>
      <c r="P15" s="1"/>
      <c r="Q15" s="29"/>
      <c r="R15" s="68" t="s">
        <v>79</v>
      </c>
      <c r="S15" s="69" t="s">
        <v>123</v>
      </c>
      <c r="T15" s="69" t="s">
        <v>124</v>
      </c>
      <c r="U15" s="68">
        <v>41611</v>
      </c>
      <c r="V15" s="69" t="s">
        <v>125</v>
      </c>
      <c r="W15" s="68">
        <v>41604</v>
      </c>
      <c r="X15" s="43">
        <v>2</v>
      </c>
      <c r="Y15" s="30" t="str">
        <f ca="1" t="shared" si="4"/>
        <v>Прекращено</v>
      </c>
      <c r="Z15" s="30" t="str">
        <f t="shared" si="5"/>
        <v>Выполнено</v>
      </c>
      <c r="AA15" s="29">
        <v>41613</v>
      </c>
      <c r="AB15" s="42">
        <v>3</v>
      </c>
      <c r="AC15" s="43">
        <v>0.4</v>
      </c>
      <c r="AD15" s="46">
        <v>380</v>
      </c>
      <c r="AE15" s="30" t="str">
        <f t="shared" si="6"/>
        <v>Заключен</v>
      </c>
      <c r="AF15" s="62">
        <v>1</v>
      </c>
      <c r="AG15" s="70">
        <v>41597</v>
      </c>
      <c r="AH15" s="65"/>
      <c r="AI15" s="64" t="s">
        <v>12</v>
      </c>
    </row>
    <row r="16" spans="1:34" ht="12.75">
      <c r="A16" s="2"/>
      <c r="B16" s="44"/>
      <c r="C16" s="3"/>
      <c r="D16" s="3"/>
      <c r="E16" s="3"/>
      <c r="G16" s="3"/>
      <c r="H16" s="2"/>
      <c r="I16" s="4"/>
      <c r="J16" s="4"/>
      <c r="K16" s="4"/>
      <c r="L16" s="3"/>
      <c r="M16" s="2"/>
      <c r="N16" s="2"/>
      <c r="O16" s="2"/>
      <c r="P16" s="2"/>
      <c r="Q16" s="2"/>
      <c r="R16" s="2"/>
      <c r="S16" s="2"/>
      <c r="T16" s="3"/>
      <c r="U16" s="3"/>
      <c r="V16" s="2"/>
      <c r="W16" s="3"/>
      <c r="X16" s="2"/>
      <c r="Y16" s="3"/>
      <c r="Z16" s="3"/>
      <c r="AA16" s="5"/>
      <c r="AB16" s="2"/>
      <c r="AC16" s="2"/>
      <c r="AD16" s="2"/>
      <c r="AE16" s="3"/>
      <c r="AF16" s="3"/>
      <c r="AG16" s="3"/>
      <c r="AH16" s="3"/>
    </row>
    <row r="17" spans="6:30" s="35" customFormat="1" ht="15.75">
      <c r="F17" s="37" t="s">
        <v>38</v>
      </c>
      <c r="G17" s="36" t="str">
        <f>CONCATENATE(SUBTOTAL(3,$G$3:$G$16)," шт.")</f>
        <v>12 шт.</v>
      </c>
      <c r="H17" s="40"/>
      <c r="I17" s="13" t="str">
        <f>CONCATENATE(SUBTOTAL(9,$I$3:$I$16)," кВт")</f>
        <v>993 кВт</v>
      </c>
      <c r="J17" s="13" t="str">
        <f>CONCATENATE(ROUND(SUBTOTAL(1,$J$3:$J$16),2)," сред.зн.")</f>
        <v>0,98 сред.зн.</v>
      </c>
      <c r="K17" s="50" t="str">
        <f>CONCATENATE(SUBTOTAL(9,$K$3:$K$16)," кВА")</f>
        <v>1013,1 кВА</v>
      </c>
      <c r="L17" s="36" t="str">
        <f>CONCATENATE(SUBTOTAL(3,$L$3:$L$16)," шт.")</f>
        <v>13 шт.</v>
      </c>
      <c r="M17" s="36" t="str">
        <f>CONCATENATE(ROUND(SUBTOTAL(1,$M$3:$M$16),2)," сред.зн.")</f>
        <v>574,68 сред.зн.</v>
      </c>
      <c r="N17" s="38">
        <f>(ROUND(SUBTOTAL(9,$N$3:$N$16),2))</f>
        <v>253097.07</v>
      </c>
      <c r="O17" s="38" t="e">
        <f>(ROUND(SUBTOTAL(9,$O$3:$O$16),2))</f>
        <v>#VALUE!</v>
      </c>
      <c r="P17" s="38">
        <f>IF(SUM($P$3:$P$16)=0,"-",(ROUND(SUBTOTAL(9,$P$3:$P$16),2)))</f>
        <v>6339.5</v>
      </c>
      <c r="S17" s="40"/>
      <c r="T17" s="49"/>
      <c r="U17" s="49"/>
      <c r="V17" s="49"/>
      <c r="W17" s="49"/>
      <c r="X17" s="40"/>
      <c r="Z17" s="36" t="s">
        <v>81</v>
      </c>
      <c r="AA17" s="37" t="str">
        <f>CONCATENATE(SUBTOTAL(3,$AA$3:$AA$16)," шт.")</f>
        <v>3 шт.</v>
      </c>
      <c r="AB17" s="40"/>
      <c r="AC17" s="40"/>
      <c r="AD17" s="40"/>
    </row>
    <row r="18" ht="12.75"/>
    <row r="19" spans="4:26" ht="15.75">
      <c r="D19" s="15"/>
      <c r="F19" s="12" t="s">
        <v>57</v>
      </c>
      <c r="Y19" s="34"/>
      <c r="Z19" s="34"/>
    </row>
    <row r="20" spans="1:30" s="14" customFormat="1" ht="25.5">
      <c r="A20" s="15"/>
      <c r="B20" s="15"/>
      <c r="C20" s="63"/>
      <c r="E20" s="15"/>
      <c r="F20" s="8" t="s">
        <v>44</v>
      </c>
      <c r="G20" s="8" t="s">
        <v>43</v>
      </c>
      <c r="H20" s="8"/>
      <c r="I20" s="8" t="s">
        <v>47</v>
      </c>
      <c r="J20" s="8"/>
      <c r="K20" s="8" t="s">
        <v>41</v>
      </c>
      <c r="L20" s="8" t="s">
        <v>46</v>
      </c>
      <c r="S20" s="41"/>
      <c r="V20" s="41"/>
      <c r="X20" s="41"/>
      <c r="AB20" s="41"/>
      <c r="AC20" s="41"/>
      <c r="AD20" s="41"/>
    </row>
    <row r="21" spans="1:12" ht="12.75">
      <c r="A21" s="34"/>
      <c r="D21" s="14"/>
      <c r="F21" s="83" t="s">
        <v>51</v>
      </c>
      <c r="G21" s="7" t="s">
        <v>36</v>
      </c>
      <c r="H21" s="71"/>
      <c r="I21" s="11">
        <f>SUMIF($G$3:$G$16,G21,$I$3:$I$16)</f>
        <v>117</v>
      </c>
      <c r="J21" s="11"/>
      <c r="K21" s="11">
        <f>SUMIF($G$3:$G$16,G21,$K$3:$K$16)</f>
        <v>119.19999999999999</v>
      </c>
      <c r="L21" s="16">
        <f>COUNTIF($G$3:$G$16,G21)</f>
        <v>7</v>
      </c>
    </row>
    <row r="22" spans="4:12" ht="25.5">
      <c r="D22" s="14"/>
      <c r="E22" s="45"/>
      <c r="F22" s="83"/>
      <c r="G22" s="7" t="s">
        <v>39</v>
      </c>
      <c r="H22" s="71"/>
      <c r="I22" s="11">
        <f>SUMIF($G$3:$G$16,G22,$I$3:$I$16)</f>
        <v>860</v>
      </c>
      <c r="J22" s="11"/>
      <c r="K22" s="11">
        <f>SUMIF($G$3:$G$16,G22,$K$3:$K$16)</f>
        <v>877.6</v>
      </c>
      <c r="L22" s="16">
        <f>COUNTIF($G$3:$G$16,G22)</f>
        <v>4</v>
      </c>
    </row>
    <row r="23" spans="4:12" ht="12.75">
      <c r="D23" s="14"/>
      <c r="F23" s="17" t="s">
        <v>45</v>
      </c>
      <c r="G23" s="17"/>
      <c r="H23" s="17"/>
      <c r="I23" s="18">
        <f>SUM(I21:I22)</f>
        <v>977</v>
      </c>
      <c r="J23" s="19"/>
      <c r="K23" s="20">
        <f>SUM(K21:K22)</f>
        <v>996.8</v>
      </c>
      <c r="L23" s="21">
        <f>SUM(L21:L22)</f>
        <v>11</v>
      </c>
    </row>
    <row r="24" spans="4:12" ht="12.75">
      <c r="D24" s="14"/>
      <c r="F24" s="83" t="s">
        <v>42</v>
      </c>
      <c r="G24" s="10">
        <v>1</v>
      </c>
      <c r="H24" s="72"/>
      <c r="I24" s="11">
        <f>SUMIF($AB$3:$AB$16,G24,$I$3:$I$16)</f>
        <v>0</v>
      </c>
      <c r="J24" s="11"/>
      <c r="K24" s="11">
        <f>SUMIF($AB$3:$AB$16,G24,$K$3:$K$16)</f>
        <v>0</v>
      </c>
      <c r="L24" s="16">
        <f>COUNTIF($AB$3:$AB$16,G24)</f>
        <v>0</v>
      </c>
    </row>
    <row r="25" spans="4:12" ht="12.75">
      <c r="D25" s="14"/>
      <c r="F25" s="83"/>
      <c r="G25" s="10">
        <v>2</v>
      </c>
      <c r="H25" s="72"/>
      <c r="I25" s="11">
        <f>SUMIF($AB$3:$AB$16,G25,$I$3:$I$16)</f>
        <v>535</v>
      </c>
      <c r="J25" s="11"/>
      <c r="K25" s="11">
        <f>SUMIF($AB$3:$AB$16,G25,$K$3:$K$16)</f>
        <v>545.9</v>
      </c>
      <c r="L25" s="16">
        <f>COUNTIF($AB$3:$AB$16,G25)</f>
        <v>2</v>
      </c>
    </row>
    <row r="26" spans="4:12" ht="12.75">
      <c r="D26" s="14"/>
      <c r="F26" s="84"/>
      <c r="G26" s="22">
        <v>3</v>
      </c>
      <c r="H26" s="73"/>
      <c r="I26" s="11">
        <f>SUMIF($AB$3:$AB$16,G26,$I$3:$I$16)</f>
        <v>458</v>
      </c>
      <c r="J26" s="11"/>
      <c r="K26" s="11">
        <f>SUMIF($AB$3:$AB$16,G26,$K$3:$K$16)</f>
        <v>467.19999999999993</v>
      </c>
      <c r="L26" s="16">
        <f>COUNTIF($AB$3:$AB$16,G26)</f>
        <v>10</v>
      </c>
    </row>
    <row r="27" spans="4:12" ht="12.75">
      <c r="D27" s="14"/>
      <c r="F27" s="60" t="s">
        <v>45</v>
      </c>
      <c r="G27" s="17"/>
      <c r="H27" s="17"/>
      <c r="I27" s="18">
        <f>SUM(I24:I26)</f>
        <v>993</v>
      </c>
      <c r="J27" s="19"/>
      <c r="K27" s="20">
        <f>SUM(K24:K26)</f>
        <v>1013.0999999999999</v>
      </c>
      <c r="L27" s="21">
        <f>SUM(L24:L26)</f>
        <v>12</v>
      </c>
    </row>
    <row r="28" spans="4:12" ht="12.75">
      <c r="D28" s="14"/>
      <c r="F28" s="88" t="s">
        <v>37</v>
      </c>
      <c r="G28" s="58">
        <v>779</v>
      </c>
      <c r="H28" s="74"/>
      <c r="I28" s="11">
        <f aca="true" t="shared" si="7" ref="I28:I33">SUMIF($M$3:$M$16,G28,$I$3:$I$16)</f>
        <v>0</v>
      </c>
      <c r="J28" s="11"/>
      <c r="K28" s="11">
        <f aca="true" t="shared" si="8" ref="K28:K33">SUMIF($M$3:$M$16,G28,$K$3:$K$16)</f>
        <v>0</v>
      </c>
      <c r="L28" s="16">
        <f aca="true" t="shared" si="9" ref="L28:L33">COUNTIF($M$3:$M$16,G28)</f>
        <v>0</v>
      </c>
    </row>
    <row r="29" spans="4:12" ht="12.75">
      <c r="D29" s="14"/>
      <c r="F29" s="89"/>
      <c r="G29" s="58">
        <v>550</v>
      </c>
      <c r="H29" s="74"/>
      <c r="I29" s="11">
        <f t="shared" si="7"/>
        <v>48</v>
      </c>
      <c r="J29" s="11"/>
      <c r="K29" s="11">
        <f t="shared" si="8"/>
        <v>48.900000000000006</v>
      </c>
      <c r="L29" s="16">
        <f t="shared" si="9"/>
        <v>4</v>
      </c>
    </row>
    <row r="30" spans="4:12" ht="12.75">
      <c r="D30" s="14"/>
      <c r="F30" s="89"/>
      <c r="G30" s="58">
        <v>325.83</v>
      </c>
      <c r="H30" s="74"/>
      <c r="I30" s="11">
        <f t="shared" si="7"/>
        <v>0</v>
      </c>
      <c r="J30" s="11"/>
      <c r="K30" s="11">
        <f t="shared" si="8"/>
        <v>0</v>
      </c>
      <c r="L30" s="16">
        <f t="shared" si="9"/>
        <v>0</v>
      </c>
    </row>
    <row r="31" spans="4:12" ht="12.75">
      <c r="D31" s="14"/>
      <c r="F31" s="89"/>
      <c r="G31" s="59">
        <v>1779</v>
      </c>
      <c r="H31" s="75"/>
      <c r="I31" s="11">
        <f t="shared" si="7"/>
        <v>0</v>
      </c>
      <c r="J31" s="11"/>
      <c r="K31" s="11">
        <f t="shared" si="8"/>
        <v>0</v>
      </c>
      <c r="L31" s="16">
        <f t="shared" si="9"/>
        <v>0</v>
      </c>
    </row>
    <row r="32" spans="4:12" ht="12.75">
      <c r="D32" s="14"/>
      <c r="F32" s="89"/>
      <c r="G32" s="59">
        <v>2175</v>
      </c>
      <c r="H32" s="75"/>
      <c r="I32" s="52">
        <f t="shared" si="7"/>
        <v>0</v>
      </c>
      <c r="J32" s="11"/>
      <c r="K32" s="52">
        <f t="shared" si="8"/>
        <v>0</v>
      </c>
      <c r="L32" s="54">
        <f t="shared" si="9"/>
        <v>0</v>
      </c>
    </row>
    <row r="33" spans="4:12" ht="12.75">
      <c r="D33" s="14"/>
      <c r="F33" s="90"/>
      <c r="G33" s="57">
        <v>2210</v>
      </c>
      <c r="H33" s="76"/>
      <c r="I33" s="53">
        <f t="shared" si="7"/>
        <v>0</v>
      </c>
      <c r="J33" s="51"/>
      <c r="K33" s="53">
        <f t="shared" si="8"/>
        <v>0</v>
      </c>
      <c r="L33" s="55">
        <f t="shared" si="9"/>
        <v>0</v>
      </c>
    </row>
    <row r="34" spans="4:12" ht="12.75">
      <c r="D34" s="14"/>
      <c r="F34" s="56" t="s">
        <v>45</v>
      </c>
      <c r="G34" s="17"/>
      <c r="H34" s="17"/>
      <c r="I34" s="18">
        <f>SUM(I28:I33)</f>
        <v>48</v>
      </c>
      <c r="J34" s="19"/>
      <c r="K34" s="20">
        <f>SUM(K28:K33)</f>
        <v>48.900000000000006</v>
      </c>
      <c r="L34" s="21">
        <f>SUM(L28:L33)</f>
        <v>4</v>
      </c>
    </row>
    <row r="35" spans="4:12" ht="12.75">
      <c r="D35" s="14"/>
      <c r="F35" s="83" t="s">
        <v>48</v>
      </c>
      <c r="G35" s="23">
        <v>0.75</v>
      </c>
      <c r="H35" s="74"/>
      <c r="I35" s="11">
        <f>SUMIF($J$3:$J$16,G35,$I$3:$I$16)</f>
        <v>0</v>
      </c>
      <c r="J35" s="11"/>
      <c r="K35" s="11">
        <f>SUMIF($J$3:$J$16,G35,$K$3:$K$16)</f>
        <v>0</v>
      </c>
      <c r="L35" s="16">
        <f>COUNTIF($J$3:$J$16,G35)</f>
        <v>0</v>
      </c>
    </row>
    <row r="36" spans="4:12" ht="12.75">
      <c r="D36" s="14"/>
      <c r="F36" s="83"/>
      <c r="G36" s="23">
        <v>0.85</v>
      </c>
      <c r="H36" s="74"/>
      <c r="I36" s="11">
        <f>SUMIF($J$3:$J$16,G36,$I$3:$I$16)</f>
        <v>0</v>
      </c>
      <c r="J36" s="11"/>
      <c r="K36" s="11">
        <f>SUMIF($J$3:$J$16,G36,$K$3:$K$16)</f>
        <v>0</v>
      </c>
      <c r="L36" s="16">
        <f>COUNTIF($J$3:$J$16,G36)</f>
        <v>0</v>
      </c>
    </row>
    <row r="37" spans="4:12" ht="12.75">
      <c r="D37" s="14"/>
      <c r="F37" s="84"/>
      <c r="G37" s="24">
        <v>0.98</v>
      </c>
      <c r="H37" s="75"/>
      <c r="I37" s="11">
        <f>SUMIF($J$3:$J$16,G37,$I$3:$I$16)</f>
        <v>993</v>
      </c>
      <c r="J37" s="11"/>
      <c r="K37" s="11">
        <f>SUMIF($J$3:$J$16,G37,$K$3:$K$16)</f>
        <v>1013.1</v>
      </c>
      <c r="L37" s="16">
        <f>COUNTIF($J$3:$J$16,G37)</f>
        <v>12</v>
      </c>
    </row>
    <row r="38" spans="4:12" ht="12.75">
      <c r="D38" s="14"/>
      <c r="F38" s="17" t="s">
        <v>45</v>
      </c>
      <c r="G38" s="17"/>
      <c r="H38" s="17"/>
      <c r="I38" s="18">
        <f>SUM(I35:I37)</f>
        <v>993</v>
      </c>
      <c r="J38" s="19"/>
      <c r="K38" s="20">
        <f>SUM(K35:K37)</f>
        <v>1013.1</v>
      </c>
      <c r="L38" s="21">
        <f>SUM(L35:L37)</f>
        <v>12</v>
      </c>
    </row>
    <row r="39" spans="4:12" ht="12.75">
      <c r="D39" s="14"/>
      <c r="F39" s="83" t="s">
        <v>49</v>
      </c>
      <c r="G39" s="23" t="s">
        <v>50</v>
      </c>
      <c r="H39" s="74"/>
      <c r="I39" s="11">
        <f>SUMIF($L$3:$L$16,G39,$I$3:$I$16)</f>
        <v>48</v>
      </c>
      <c r="J39" s="11"/>
      <c r="K39" s="11">
        <f>SUMIF($L$3:$L$16,G39,$K$3:$K$16)</f>
        <v>48.900000000000006</v>
      </c>
      <c r="L39" s="16">
        <f>COUNTIF($L$3:$L$16,G39)</f>
        <v>4</v>
      </c>
    </row>
    <row r="40" spans="4:12" ht="12.75">
      <c r="D40" s="14"/>
      <c r="F40" s="84"/>
      <c r="G40" s="24" t="s">
        <v>84</v>
      </c>
      <c r="H40" s="75"/>
      <c r="I40" s="11">
        <f>SUMIF($L$3:$L$16,G40,$I$3:$I$16)</f>
        <v>339</v>
      </c>
      <c r="J40" s="11"/>
      <c r="K40" s="11">
        <f>SUMIF($L$3:$L$16,G40,$K$3:$K$16)</f>
        <v>345.79999999999995</v>
      </c>
      <c r="L40" s="16">
        <f>COUNTIF($L$3:$L$16,G40)</f>
        <v>6</v>
      </c>
    </row>
    <row r="41" spans="4:12" ht="12.75">
      <c r="D41" s="14"/>
      <c r="F41" s="84"/>
      <c r="G41" s="24" t="s">
        <v>85</v>
      </c>
      <c r="H41" s="75"/>
      <c r="I41" s="11">
        <f>SUMIF($L$3:$L$16,G41,$I$3:$I$16)</f>
        <v>606</v>
      </c>
      <c r="J41" s="11"/>
      <c r="K41" s="11">
        <f>SUMIF($L$3:$L$16,G41,$K$3:$K$16)</f>
        <v>618.4</v>
      </c>
      <c r="L41" s="16">
        <f>COUNTIF($L$3:$L$16,G41)</f>
        <v>2</v>
      </c>
    </row>
    <row r="42" spans="4:12" ht="12.75">
      <c r="D42" s="14"/>
      <c r="F42" s="84"/>
      <c r="G42" s="24" t="s">
        <v>86</v>
      </c>
      <c r="H42" s="75"/>
      <c r="I42" s="11">
        <f>SUMIF($L$3:$L$16,G42,$I$3:$I$16)</f>
        <v>0</v>
      </c>
      <c r="J42" s="11"/>
      <c r="K42" s="11">
        <f>SUMIF($L$3:$L$16,G42,$K$3:$K$16)</f>
        <v>0</v>
      </c>
      <c r="L42" s="16">
        <f>COUNTIF($L$3:$L$16,G42)</f>
        <v>0</v>
      </c>
    </row>
    <row r="43" spans="4:12" ht="12.75">
      <c r="D43" s="14"/>
      <c r="F43" s="17" t="s">
        <v>45</v>
      </c>
      <c r="G43" s="17"/>
      <c r="H43" s="17"/>
      <c r="I43" s="18">
        <f>SUM(I39:I42)</f>
        <v>993</v>
      </c>
      <c r="J43" s="19"/>
      <c r="K43" s="20">
        <f>SUM(K39:K42)</f>
        <v>1013.0999999999999</v>
      </c>
      <c r="L43" s="21">
        <f>SUM(L39:L42)</f>
        <v>12</v>
      </c>
    </row>
    <row r="44" spans="4:12" ht="12.75">
      <c r="D44" s="14"/>
      <c r="F44" s="83" t="s">
        <v>40</v>
      </c>
      <c r="G44" s="25">
        <v>0.4</v>
      </c>
      <c r="H44" s="77"/>
      <c r="I44" s="11">
        <f>SUMIF($AC$3:$AC$16,G44,$I$3:$I$16)</f>
        <v>993</v>
      </c>
      <c r="J44" s="11"/>
      <c r="K44" s="11">
        <f>SUMIF($AC$3:$AC$16,G44,$K$3:$K$16)</f>
        <v>1013.1</v>
      </c>
      <c r="L44" s="16">
        <f>COUNTIF($AC$3:$AC$16,G44)</f>
        <v>12</v>
      </c>
    </row>
    <row r="45" spans="4:12" ht="12.75">
      <c r="D45" s="14"/>
      <c r="F45" s="83"/>
      <c r="G45" s="25">
        <v>1</v>
      </c>
      <c r="H45" s="77"/>
      <c r="I45" s="11">
        <f>SUMIF($AC$3:$AC$16,G45,$I$3:$I$16)</f>
        <v>0</v>
      </c>
      <c r="J45" s="11"/>
      <c r="K45" s="11">
        <f>SUMIF($AC$3:$AC$16,G45,$K$3:$K$16)</f>
        <v>0</v>
      </c>
      <c r="L45" s="16">
        <f>COUNTIF($AC$3:$AC$16,G45)</f>
        <v>0</v>
      </c>
    </row>
    <row r="46" spans="4:12" ht="12.75">
      <c r="D46" s="14"/>
      <c r="F46" s="84"/>
      <c r="G46" s="26">
        <v>3</v>
      </c>
      <c r="H46" s="78"/>
      <c r="I46" s="11">
        <f>SUMIF($AC$3:$AC$16,G46,$I$3:$I$16)</f>
        <v>0</v>
      </c>
      <c r="J46" s="11"/>
      <c r="K46" s="11">
        <f>SUMIF($AC$3:$AC$16,G46,$K$3:$K$16)</f>
        <v>0</v>
      </c>
      <c r="L46" s="16">
        <f>COUNTIF($AC$3:$AC$16,G46)</f>
        <v>0</v>
      </c>
    </row>
    <row r="47" spans="4:12" ht="12.75">
      <c r="D47" s="14"/>
      <c r="F47" s="84"/>
      <c r="G47" s="26">
        <v>6</v>
      </c>
      <c r="H47" s="78"/>
      <c r="I47" s="11">
        <f>SUMIF($AC$3:$AC$16,G47,$I$3:$I$16)</f>
        <v>0</v>
      </c>
      <c r="J47" s="11"/>
      <c r="K47" s="11">
        <f>SUMIF($AC$3:$AC$16,G47,$K$3:$K$16)</f>
        <v>0</v>
      </c>
      <c r="L47" s="16">
        <f>COUNTIF($AC$3:$AC$16,G47)</f>
        <v>0</v>
      </c>
    </row>
    <row r="48" spans="4:12" ht="12.75">
      <c r="D48" s="14"/>
      <c r="F48" s="84"/>
      <c r="G48" s="26">
        <v>10</v>
      </c>
      <c r="H48" s="78"/>
      <c r="I48" s="11">
        <f>SUMIF($AC$3:$AC$16,G48,$I$3:$I$16)</f>
        <v>0</v>
      </c>
      <c r="J48" s="11"/>
      <c r="K48" s="11">
        <f>SUMIF($AC$3:$AC$16,G48,$K$3:$K$16)</f>
        <v>0</v>
      </c>
      <c r="L48" s="16">
        <f>COUNTIF($AC$3:$AC$16,G48)</f>
        <v>0</v>
      </c>
    </row>
    <row r="49" spans="4:12" ht="12.75">
      <c r="D49" s="14"/>
      <c r="F49" s="17" t="s">
        <v>45</v>
      </c>
      <c r="G49" s="17"/>
      <c r="H49" s="17"/>
      <c r="I49" s="18">
        <f>SUM(I44:I48)</f>
        <v>993</v>
      </c>
      <c r="J49" s="19"/>
      <c r="K49" s="20">
        <f>SUM(K44:K48)</f>
        <v>1013.1</v>
      </c>
      <c r="L49" s="21">
        <f>SUM(L44:L48)</f>
        <v>12</v>
      </c>
    </row>
    <row r="50" spans="4:12" ht="12.75">
      <c r="D50" s="14"/>
      <c r="F50" s="85" t="s">
        <v>52</v>
      </c>
      <c r="G50" s="27">
        <v>220</v>
      </c>
      <c r="H50" s="79"/>
      <c r="I50" s="11">
        <f>SUMIF($AD$3:$AD$16,G50,$I$3:$I$16)</f>
        <v>6</v>
      </c>
      <c r="J50" s="11"/>
      <c r="K50" s="11">
        <f>SUMIF($AD$3:$AD$16,G50,$K$3:$K$16)</f>
        <v>6.1</v>
      </c>
      <c r="L50" s="16">
        <f>COUNTIF($AD$3:$AD$16,G50)</f>
        <v>1</v>
      </c>
    </row>
    <row r="51" spans="4:12" ht="12.75">
      <c r="D51" s="14"/>
      <c r="F51" s="86"/>
      <c r="G51" s="27">
        <v>380</v>
      </c>
      <c r="H51" s="79"/>
      <c r="I51" s="11">
        <f>SUMIF($AD$3:$AD$16,G51,$I$3:$I$16)</f>
        <v>581</v>
      </c>
      <c r="J51" s="11"/>
      <c r="K51" s="11">
        <f>SUMIF($AD$3:$AD$16,G51,$K$3:$K$16)</f>
        <v>592.6999999999999</v>
      </c>
      <c r="L51" s="16">
        <f>COUNTIF($AD$3:$AD$16,G51)</f>
        <v>10</v>
      </c>
    </row>
    <row r="52" spans="4:12" ht="12.75">
      <c r="D52" s="14"/>
      <c r="F52" s="87"/>
      <c r="G52" s="27">
        <v>10000</v>
      </c>
      <c r="H52" s="79"/>
      <c r="I52" s="11">
        <f>SUMIF($AD$3:$AD$16,G52,$I$3:$I$16)</f>
        <v>0</v>
      </c>
      <c r="J52" s="11"/>
      <c r="K52" s="11">
        <f>SUMIF($AD$3:$AD$16,G52,$K$3:$K$16)</f>
        <v>0</v>
      </c>
      <c r="L52" s="16">
        <f>COUNTIF($AD$3:$AD$16,G52)</f>
        <v>0</v>
      </c>
    </row>
    <row r="53" spans="4:12" ht="12.75">
      <c r="D53" s="14"/>
      <c r="F53" s="17" t="s">
        <v>45</v>
      </c>
      <c r="G53" s="17"/>
      <c r="H53" s="17"/>
      <c r="I53" s="18">
        <f>SUM(I50:I52)</f>
        <v>587</v>
      </c>
      <c r="J53" s="19"/>
      <c r="K53" s="18">
        <f>SUM(K50:K52)</f>
        <v>598.8</v>
      </c>
      <c r="L53" s="21">
        <f>SUM(L50:L52)</f>
        <v>11</v>
      </c>
    </row>
    <row r="54" spans="4:12" ht="12.75">
      <c r="D54" s="14"/>
      <c r="F54" s="83" t="s">
        <v>55</v>
      </c>
      <c r="G54" s="27" t="s">
        <v>54</v>
      </c>
      <c r="H54" s="79"/>
      <c r="I54" s="11">
        <f>SUMIF($E$3:$E$16,G54,$I$3:$I$16)</f>
        <v>993</v>
      </c>
      <c r="J54" s="11"/>
      <c r="K54" s="11">
        <f>SUMIF($E$3:$E$16,G54,$K$3:$K$16)</f>
        <v>1013.1</v>
      </c>
      <c r="L54" s="16">
        <f>COUNTIF($E$3:$E$16,G54)</f>
        <v>12</v>
      </c>
    </row>
    <row r="55" spans="4:12" ht="62.25" customHeight="1">
      <c r="D55" s="14"/>
      <c r="F55" s="83"/>
      <c r="G55" s="27" t="s">
        <v>73</v>
      </c>
      <c r="H55" s="79"/>
      <c r="I55" s="11">
        <f>SUMIF($E$3:$E$16,G55,$I$3:$I$16)</f>
        <v>0</v>
      </c>
      <c r="J55" s="11"/>
      <c r="K55" s="11">
        <f>SUMIF($E$3:$E$16,G55,$K$3:$K$16)</f>
        <v>0</v>
      </c>
      <c r="L55" s="16">
        <f>COUNTIF($E$3:$E$16,G55)</f>
        <v>0</v>
      </c>
    </row>
    <row r="56" spans="4:12" ht="12.75">
      <c r="D56" s="14"/>
      <c r="F56" s="17" t="s">
        <v>45</v>
      </c>
      <c r="G56" s="17"/>
      <c r="H56" s="17"/>
      <c r="I56" s="18">
        <f>SUM(I54:I55)</f>
        <v>993</v>
      </c>
      <c r="J56" s="19"/>
      <c r="K56" s="20">
        <f>SUM(K54:K55)</f>
        <v>1013.1</v>
      </c>
      <c r="L56" s="21">
        <f>SUM(L54:L55)</f>
        <v>12</v>
      </c>
    </row>
    <row r="57" spans="4:12" ht="15.75">
      <c r="D57" s="14"/>
      <c r="F57" s="12" t="s">
        <v>58</v>
      </c>
      <c r="I57" s="12" t="str">
        <f>IF(AND(I23=I27,I27=I34,I34=I38,I38=I43,I49=I53,I53=I56),"данные корректны","уточните данные")</f>
        <v>уточните данные</v>
      </c>
      <c r="K57" s="12" t="str">
        <f>IF(AND(K23=K27,K27=K34,K34=K38,K38=K43,K49=K53,K53=K56),"данные корректны","уточните данные")</f>
        <v>уточните данные</v>
      </c>
      <c r="L57" s="12" t="str">
        <f>IF(AND(L23=L27,L27=L34,L34=L38,L38=L43,L49=L53,L53=L56),"данные корректны","уточните данные")</f>
        <v>уточните данные</v>
      </c>
    </row>
    <row r="60" ht="12.75">
      <c r="H60" s="80"/>
    </row>
  </sheetData>
  <sheetProtection formatCells="0" formatColumns="0" formatRows="0" autoFilter="0"/>
  <autoFilter ref="A2:AI15"/>
  <mergeCells count="9">
    <mergeCell ref="A1:F1"/>
    <mergeCell ref="F54:F55"/>
    <mergeCell ref="F21:F22"/>
    <mergeCell ref="F24:F26"/>
    <mergeCell ref="F44:F48"/>
    <mergeCell ref="F35:F37"/>
    <mergeCell ref="F39:F42"/>
    <mergeCell ref="F50:F52"/>
    <mergeCell ref="F28:F33"/>
  </mergeCells>
  <printOptions/>
  <pageMargins left="0.196850393700787" right="0.196850393700787" top="0.393700787401575" bottom="0.196850393700787" header="0" footer="0"/>
  <pageSetup horizontalDpi="600" verticalDpi="600" orientation="landscape" paperSize="9" scale="5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Тарабановский</dc:creator>
  <cp:keywords/>
  <dc:description/>
  <cp:lastModifiedBy>Mishina</cp:lastModifiedBy>
  <cp:lastPrinted>2013-02-13T07:45:44Z</cp:lastPrinted>
  <dcterms:created xsi:type="dcterms:W3CDTF">2009-04-17T07:08:23Z</dcterms:created>
  <dcterms:modified xsi:type="dcterms:W3CDTF">2015-11-27T07:49:36Z</dcterms:modified>
  <cp:category/>
  <cp:version/>
  <cp:contentType/>
  <cp:contentStatus/>
</cp:coreProperties>
</file>